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2\2-Licitació\Anunci\"/>
    </mc:Choice>
  </mc:AlternateContent>
  <xr:revisionPtr revIDLastSave="0" documentId="8_{873F8519-EC46-4F40-98FE-0EDE47D23059}" xr6:coauthVersionLast="47" xr6:coauthVersionMax="47" xr10:uidLastSave="{00000000-0000-0000-0000-000000000000}"/>
  <bookViews>
    <workbookView xWindow="-120" yWindow="-120" windowWidth="29040" windowHeight="15840" xr2:uid="{03EC9267-EC19-4267-8D28-0365D2050EA7}"/>
  </bookViews>
  <sheets>
    <sheet name="CA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/>
  <c r="B9" i="1"/>
  <c r="C18" i="1"/>
  <c r="D18" i="1" s="1"/>
  <c r="F18" i="1" s="1"/>
  <c r="E18" i="1"/>
  <c r="C19" i="1"/>
  <c r="D19" i="1"/>
  <c r="F19" i="1" s="1"/>
  <c r="E19" i="1"/>
  <c r="C20" i="1"/>
  <c r="D20" i="1" s="1"/>
  <c r="F20" i="1" s="1"/>
  <c r="E20" i="1"/>
  <c r="C21" i="1"/>
  <c r="D21" i="1"/>
  <c r="F21" i="1" s="1"/>
  <c r="E21" i="1"/>
  <c r="C22" i="1"/>
  <c r="D22" i="1" s="1"/>
  <c r="E22" i="1"/>
  <c r="C23" i="1"/>
  <c r="D23" i="1"/>
  <c r="F23" i="1" s="1"/>
  <c r="E23" i="1"/>
  <c r="C24" i="1"/>
  <c r="D24" i="1" s="1"/>
  <c r="E24" i="1"/>
  <c r="C25" i="1"/>
  <c r="D25" i="1"/>
  <c r="E25" i="1"/>
  <c r="C26" i="1"/>
  <c r="D26" i="1" s="1"/>
  <c r="F26" i="1" s="1"/>
  <c r="E26" i="1"/>
  <c r="C27" i="1"/>
  <c r="D27" i="1"/>
  <c r="E27" i="1"/>
  <c r="C28" i="1"/>
  <c r="D28" i="1" s="1"/>
  <c r="E28" i="1"/>
  <c r="C29" i="1"/>
  <c r="D29" i="1"/>
  <c r="F29" i="1" s="1"/>
  <c r="E29" i="1"/>
  <c r="A33" i="1"/>
  <c r="F25" i="1" l="1"/>
  <c r="F22" i="1"/>
  <c r="F28" i="1"/>
  <c r="F24" i="1"/>
  <c r="F27" i="1"/>
  <c r="B33" i="1"/>
</calcChain>
</file>

<file path=xl/sharedStrings.xml><?xml version="1.0" encoding="utf-8"?>
<sst xmlns="http://schemas.openxmlformats.org/spreadsheetml/2006/main" count="33" uniqueCount="33">
  <si>
    <t>Liquidació</t>
  </si>
  <si>
    <t>Juny 2023</t>
  </si>
  <si>
    <t>Maig 2023</t>
  </si>
  <si>
    <t>Abril 2023</t>
  </si>
  <si>
    <t>Març 2023</t>
  </si>
  <si>
    <t>Febrer 2023</t>
  </si>
  <si>
    <t>Gener 2023</t>
  </si>
  <si>
    <t>Desembre 2022</t>
  </si>
  <si>
    <t>Novembre 2022</t>
  </si>
  <si>
    <t>Octubre 2022</t>
  </si>
  <si>
    <t>Setembre 2022</t>
  </si>
  <si>
    <t>Agost 2022</t>
  </si>
  <si>
    <t>Juliol 2022</t>
  </si>
  <si>
    <t>Càlcul comissió</t>
  </si>
  <si>
    <t>Càlcul comissió saldos excedents al llindar</t>
  </si>
  <si>
    <t>Càlcul comissió saldos inferiors al llindar</t>
  </si>
  <si>
    <t>Saldo mitjà mensual, deduïnt franquícia</t>
  </si>
  <si>
    <t>Saldo mitjà mensual</t>
  </si>
  <si>
    <t>Mes</t>
  </si>
  <si>
    <t>Act/Act</t>
  </si>
  <si>
    <t>Base de càlcul</t>
  </si>
  <si>
    <t>Comissió aplicable saldos &gt; llindar</t>
  </si>
  <si>
    <t>Oferta en la licitació</t>
  </si>
  <si>
    <t>Comissió aplicable saldos &lt;= llindar</t>
  </si>
  <si>
    <t>Llindar</t>
  </si>
  <si>
    <t>Franquícia</t>
  </si>
  <si>
    <t>Import total comissió adjudicat</t>
  </si>
  <si>
    <t>Entitat de crèdit tresorera</t>
  </si>
  <si>
    <t>2n període: novembre 2022-juny 2023 (8 mesos)</t>
  </si>
  <si>
    <t>Període</t>
  </si>
  <si>
    <t>Destinataris de la clàusula 5.1 del Plec de clàusules particulars</t>
  </si>
  <si>
    <t>Contracte marc de Tresoreria 2022</t>
  </si>
  <si>
    <t>Plantilla orientativa per al càlcul i la justificació de les comissions de custòdia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</si>
</sst>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Noto Sans"/>
      <family val="2"/>
      <charset val="1"/>
    </font>
    <font>
      <b/>
      <sz val="11"/>
      <name val="Noto Sans"/>
      <family val="2"/>
      <charset val="1"/>
    </font>
    <font>
      <sz val="9"/>
      <name val="Noto Sans"/>
      <family val="2"/>
      <charset val="1"/>
    </font>
    <font>
      <b/>
      <sz val="11"/>
      <name val="Noto San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4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44" fontId="2" fillId="0" borderId="1" xfId="0" applyNumberFormat="1" applyFont="1" applyBorder="1"/>
    <xf numFmtId="44" fontId="2" fillId="0" borderId="1" xfId="0" applyNumberFormat="1" applyFont="1" applyBorder="1" applyProtection="1">
      <protection locked="0"/>
    </xf>
    <xf numFmtId="0" fontId="2" fillId="0" borderId="1" xfId="0" applyFont="1" applyBorder="1" applyAlignment="1">
      <alignment horizontal="center"/>
    </xf>
    <xf numFmtId="0" fontId="2" fillId="0" borderId="1" xfId="0" quotePrefix="1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17" fontId="2" fillId="0" borderId="1" xfId="0" quotePrefix="1" applyNumberFormat="1" applyFont="1" applyBorder="1" applyAlignment="1">
      <alignment horizontal="center"/>
    </xf>
    <xf numFmtId="0" fontId="4" fillId="0" borderId="0" xfId="0" applyFont="1"/>
    <xf numFmtId="1" fontId="2" fillId="0" borderId="1" xfId="0" applyNumberFormat="1" applyFont="1" applyBorder="1" applyProtection="1">
      <protection locked="0"/>
    </xf>
    <xf numFmtId="0" fontId="3" fillId="0" borderId="1" xfId="0" applyFont="1" applyBorder="1"/>
    <xf numFmtId="10" fontId="2" fillId="0" borderId="1" xfId="0" applyNumberFormat="1" applyFont="1" applyBorder="1"/>
    <xf numFmtId="0" fontId="3" fillId="0" borderId="1" xfId="0" applyFont="1" applyBorder="1" applyAlignment="1">
      <alignment wrapText="1"/>
    </xf>
    <xf numFmtId="44" fontId="2" fillId="0" borderId="0" xfId="0" applyNumberFormat="1" applyFont="1"/>
    <xf numFmtId="44" fontId="2" fillId="0" borderId="0" xfId="1" applyFont="1" applyFill="1" applyProtection="1"/>
    <xf numFmtId="0" fontId="2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5" fillId="0" borderId="0" xfId="0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971551</xdr:colOff>
      <xdr:row>0</xdr:row>
      <xdr:rowOff>57150</xdr:rowOff>
    </xdr:from>
    <xdr:to>
      <xdr:col>15</xdr:col>
      <xdr:colOff>695326</xdr:colOff>
      <xdr:row>41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9296D82-4F79-4BA7-B62E-7EAB6678F413}"/>
            </a:ext>
          </a:extLst>
        </xdr:cNvPr>
        <xdr:cNvSpPr txBox="1"/>
      </xdr:nvSpPr>
      <xdr:spPr>
        <a:xfrm>
          <a:off x="5334001" y="57150"/>
          <a:ext cx="6791325" cy="788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Clàusula</a:t>
          </a:r>
          <a:r>
            <a:rPr lang="es-ES" sz="1100" b="1" baseline="0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 6.6.3 Plec de prescripcions tècniques</a:t>
          </a:r>
          <a:endParaRPr lang="es-ES" sz="1100" b="1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endParaRPr lang="es-ES" sz="1100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b="1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Forma de càlcul pels destinataris del Contracte marc de la clàusula 5.1 del Plec de clàusules particulars</a:t>
          </a:r>
        </a:p>
        <a:p>
          <a:endParaRPr lang="es-ES" b="1">
            <a:solidFill>
              <a:srgbClr val="FF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ca-ES" sz="1100" b="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El càlcul es farà sobre els saldos mensuals positius mitjans de </a:t>
          </a:r>
          <a:r>
            <a:rPr lang="ca-ES" sz="1100" b="1" u="sng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tots</a:t>
          </a:r>
          <a:r>
            <a:rPr lang="ca-ES" sz="1100" b="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 els destinataris del Contracte marc de la clàusula 5.1 del Plec de clàusules particulars que mantinguin en els comptes bancaris oberts de cada entitat tresorera, tenint en compte el següent:</a:t>
          </a:r>
          <a:endParaRPr lang="es-ES" sz="1100" b="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-Quan un saldo diari sigui negatiu (per disposició del crèdit en compte corrent), es considerarà que el saldo és zero a efectes del càlcul d’aquesta comissió.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-Per cada dia, es prendrà el darrer saldo del dia.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-Els saldos diaris s’ordenaran per data operació, no per data valor.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-Cada mitjana mensual es calcularà amb el saldo de tots els dies naturals del mes.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Cada entitat tresorera ha de calcular la mitjana mensual dels saldos bancaris, per cada mes del període a liquidar.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S’estableix una franquícia de 10.000.000 € a aplicar sobre el saldo positiu mensual mitjà total resultant per a cada entitat tresorera. 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Aquesta franquícia de 10.000.000 € es dedueix de la mitjana mensual dels saldos positius de cada mes i entitat tresorera.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El resultat de la deducció de la franquícia serà, per cada mes: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Màxim { Saldo mitjà mensual positiu – 10.000.000 € , 0 €}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S’estableix un llindar per a cada entitat tresorera, de manera que els saldos mensuals menors o iguals a aquest llindar es remuneren al tipus aplicable (%) al càlcul de la comissió de custòdia ofert en la licitació i els saldos que excedeixen d’aquest llindar es remuneren al 0,50% anual, tret del que es preveu al final d’aquesta clàusula.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El llindar s’obtindrà dividint 800.000.000 € entre el nombre d’entitats tresoreres adjudicatàries.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>
            <a:solidFill>
              <a:sysClr val="windowText" lastClr="000000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Noto Sans" panose="020B0502040504020204" pitchFamily="34"/>
          </a:endParaRPr>
        </a:p>
        <a:p>
          <a:r>
            <a:rPr lang="es-ES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El llindar que correspon a cada entitat tresorera és aplicable sobre els saldos mitjans mensuals positius un cop ja s’ha deduït la franquícia de 10.000.000 €.</a:t>
          </a:r>
        </a:p>
        <a:p>
          <a:endParaRPr lang="es-ES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Així, cada entitat tresorera calcularà l’import de la comissió de custòdia per cada mes i se sumaran els imports resultants dels mesos que corresponguin d’acord amb els períodes establerts en la clàusula 40 del Plec de clàusules particulars.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tilla%20orientativa%20justificaci&#243;%20comissi&#243;%20cust&#242;d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"/>
      <sheetName val="CAST"/>
      <sheetName val="Períodes"/>
    </sheetNames>
    <sheetDataSet>
      <sheetData sheetId="0"/>
      <sheetData sheetId="1"/>
      <sheetData sheetId="2">
        <row r="2">
          <cell r="A2" t="str">
            <v>1r període: juliol-octubre 2022 (4 mesos)</v>
          </cell>
        </row>
        <row r="3">
          <cell r="A3" t="str">
            <v>2n període: novembre 2022-juny 2023 (8 mesos)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DE7E1-5F03-4803-8C8C-A2F2685A476A}">
  <dimension ref="A1:H33"/>
  <sheetViews>
    <sheetView showGridLines="0" tabSelected="1" workbookViewId="0">
      <selection activeCell="A2" sqref="A2"/>
    </sheetView>
  </sheetViews>
  <sheetFormatPr baseColWidth="10" defaultRowHeight="16.5" x14ac:dyDescent="0.3"/>
  <cols>
    <col min="1" max="1" width="46.85546875" style="1" customWidth="1"/>
    <col min="2" max="2" width="31" style="1" customWidth="1"/>
    <col min="3" max="5" width="23.42578125" style="1" customWidth="1"/>
    <col min="6" max="6" width="23.85546875" style="1" bestFit="1" customWidth="1"/>
    <col min="7" max="7" width="18.85546875" style="1" customWidth="1"/>
    <col min="8" max="8" width="15.5703125" style="1" customWidth="1"/>
    <col min="9" max="16384" width="11.42578125" style="1"/>
  </cols>
  <sheetData>
    <row r="1" spans="1:6" x14ac:dyDescent="0.3">
      <c r="A1" s="4" t="s">
        <v>32</v>
      </c>
    </row>
    <row r="2" spans="1:6" x14ac:dyDescent="0.3">
      <c r="A2" s="4" t="s">
        <v>31</v>
      </c>
    </row>
    <row r="3" spans="1:6" x14ac:dyDescent="0.3">
      <c r="A3" s="21" t="s">
        <v>30</v>
      </c>
    </row>
    <row r="5" spans="1:6" ht="33" x14ac:dyDescent="0.3">
      <c r="A5" s="14" t="s">
        <v>29</v>
      </c>
      <c r="B5" s="20" t="s">
        <v>28</v>
      </c>
    </row>
    <row r="6" spans="1:6" x14ac:dyDescent="0.3">
      <c r="A6" s="14" t="s">
        <v>27</v>
      </c>
      <c r="B6" s="19"/>
    </row>
    <row r="7" spans="1:6" x14ac:dyDescent="0.3">
      <c r="A7" s="14" t="s">
        <v>26</v>
      </c>
      <c r="B7" s="6">
        <v>500000</v>
      </c>
      <c r="F7" s="18"/>
    </row>
    <row r="8" spans="1:6" x14ac:dyDescent="0.3">
      <c r="A8" s="14">
        <v>2022</v>
      </c>
      <c r="B8" s="7">
        <f>0.75*B7</f>
        <v>375000</v>
      </c>
      <c r="F8" s="18"/>
    </row>
    <row r="9" spans="1:6" x14ac:dyDescent="0.3">
      <c r="A9" s="14">
        <v>2023</v>
      </c>
      <c r="B9" s="7">
        <f>0.25*B7</f>
        <v>125000</v>
      </c>
      <c r="F9" s="17"/>
    </row>
    <row r="10" spans="1:6" x14ac:dyDescent="0.3">
      <c r="A10" s="16" t="s">
        <v>25</v>
      </c>
      <c r="B10" s="6">
        <v>10000000</v>
      </c>
    </row>
    <row r="11" spans="1:6" x14ac:dyDescent="0.3">
      <c r="A11" s="16" t="s">
        <v>24</v>
      </c>
      <c r="B11" s="6">
        <v>200000000</v>
      </c>
    </row>
    <row r="12" spans="1:6" x14ac:dyDescent="0.3">
      <c r="A12" s="14" t="s">
        <v>23</v>
      </c>
      <c r="B12" s="15">
        <v>3.0000000000000001E-3</v>
      </c>
      <c r="C12" s="12" t="s">
        <v>22</v>
      </c>
      <c r="D12" s="12"/>
      <c r="E12" s="12"/>
    </row>
    <row r="13" spans="1:6" x14ac:dyDescent="0.3">
      <c r="A13" s="14" t="s">
        <v>21</v>
      </c>
      <c r="B13" s="15">
        <v>5.0000000000000001E-3</v>
      </c>
      <c r="C13" s="12"/>
      <c r="D13" s="12"/>
      <c r="E13" s="12"/>
    </row>
    <row r="14" spans="1:6" x14ac:dyDescent="0.3">
      <c r="A14" s="14" t="s">
        <v>20</v>
      </c>
      <c r="B14" s="13">
        <v>365</v>
      </c>
      <c r="C14" s="12" t="s">
        <v>19</v>
      </c>
      <c r="D14" s="12"/>
      <c r="E14" s="12"/>
    </row>
    <row r="17" spans="1:8" ht="49.5" x14ac:dyDescent="0.3">
      <c r="A17" s="5" t="s">
        <v>18</v>
      </c>
      <c r="B17" s="5" t="s">
        <v>17</v>
      </c>
      <c r="C17" s="10" t="s">
        <v>16</v>
      </c>
      <c r="D17" s="10" t="s">
        <v>15</v>
      </c>
      <c r="E17" s="10" t="s">
        <v>14</v>
      </c>
      <c r="F17" s="10" t="s">
        <v>13</v>
      </c>
    </row>
    <row r="18" spans="1:8" x14ac:dyDescent="0.3">
      <c r="A18" s="8" t="s">
        <v>12</v>
      </c>
      <c r="B18" s="7"/>
      <c r="C18" s="6">
        <f>+IF(B18-$B$10&lt;0,0,B18-$B$10)</f>
        <v>0</v>
      </c>
      <c r="D18" s="6">
        <f>+ROUND(IF(C18&gt;$B$11,$B$11*$B$12*VLOOKUP(A18,[1]!Dies[#Data],2,FALSE)/$B$14,C18*$B$12*VLOOKUP(A18,[1]!Dies[#Data],2,FALSE)/$B$14),2)</f>
        <v>0</v>
      </c>
      <c r="E18" s="6">
        <f>+ROUND(IF(C18&lt;=$B$11,0,(C18-$B$11)*$B$13*VLOOKUP(A18,[1]!Dies[#Data],2,FALSE)/$B$14),2)</f>
        <v>0</v>
      </c>
      <c r="F18" s="6">
        <f>+D18+E18</f>
        <v>0</v>
      </c>
    </row>
    <row r="19" spans="1:8" x14ac:dyDescent="0.3">
      <c r="A19" s="11" t="s">
        <v>11</v>
      </c>
      <c r="B19" s="7"/>
      <c r="C19" s="6">
        <f>+IF(B19-$B$10&lt;0,0,B19-$B$10)</f>
        <v>0</v>
      </c>
      <c r="D19" s="6">
        <f>+ROUND(IF(C19&gt;$B$11,$B$11*$B$12*VLOOKUP(A19,[1]!Dies[#Data],2,FALSE)/$B$14,C19*$B$12*VLOOKUP(A19,[1]!Dies[#Data],2,FALSE)/$B$14),2)</f>
        <v>0</v>
      </c>
      <c r="E19" s="6">
        <f>+ROUND(IF(C19&lt;=$B$11,0,(C19-$B$11)*$B$13*VLOOKUP(A19,[1]!Dies[#Data],2,FALSE)/$B$14),2)</f>
        <v>0</v>
      </c>
      <c r="F19" s="6">
        <f>+D19+E19</f>
        <v>0</v>
      </c>
    </row>
    <row r="20" spans="1:8" x14ac:dyDescent="0.3">
      <c r="A20" s="8" t="s">
        <v>10</v>
      </c>
      <c r="B20" s="7"/>
      <c r="C20" s="6">
        <f>+IF(B20-$B$10&lt;0,0,B20-$B$10)</f>
        <v>0</v>
      </c>
      <c r="D20" s="6">
        <f>+ROUND(IF(C20&gt;$B$11,$B$11*$B$12*VLOOKUP(A20,[1]!Dies[#Data],2,FALSE)/$B$14,C20*$B$12*VLOOKUP(A20,[1]!Dies[#Data],2,FALSE)/$B$14),2)</f>
        <v>0</v>
      </c>
      <c r="E20" s="6">
        <f>+ROUND(IF(C20&lt;=$B$11,0,(C20-$B$11)*$B$13*VLOOKUP(A20,[1]!Dies[#Data],2,FALSE)/$B$14),2)</f>
        <v>0</v>
      </c>
      <c r="F20" s="6">
        <f>+D20+E20</f>
        <v>0</v>
      </c>
    </row>
    <row r="21" spans="1:8" x14ac:dyDescent="0.3">
      <c r="A21" s="11" t="s">
        <v>9</v>
      </c>
      <c r="B21" s="7"/>
      <c r="C21" s="6">
        <f>+IF(B21-$B$10&lt;0,0,B21-$B$10)</f>
        <v>0</v>
      </c>
      <c r="D21" s="6">
        <f>+ROUND(IF(C21&gt;$B$11,$B$11*$B$12*VLOOKUP(A21,[1]!Dies[#Data],2,FALSE)/$B$14,C21*$B$12*VLOOKUP(A21,[1]!Dies[#Data],2,FALSE)/$B$14),2)</f>
        <v>0</v>
      </c>
      <c r="E21" s="6">
        <f>+ROUND(IF(C21&lt;=$B$11,0,(C21-$B$11)*$B$13*VLOOKUP(A21,[1]!Dies[#Data],2,FALSE)/$B$14),2)</f>
        <v>0</v>
      </c>
      <c r="F21" s="6">
        <f>+D21+E21</f>
        <v>0</v>
      </c>
    </row>
    <row r="22" spans="1:8" x14ac:dyDescent="0.3">
      <c r="A22" s="8" t="s">
        <v>8</v>
      </c>
      <c r="B22" s="7"/>
      <c r="C22" s="6">
        <f>+IF(B22-$B$10&lt;0,0,B22-$B$10)</f>
        <v>0</v>
      </c>
      <c r="D22" s="6">
        <f>+ROUND(IF(C22&gt;$B$11,$B$11*$B$12*VLOOKUP(A22,[1]!Dies[#Data],2,FALSE)/$B$14,C22*$B$12*VLOOKUP(A22,[1]!Dies[#Data],2,FALSE)/$B$14),2)</f>
        <v>0</v>
      </c>
      <c r="E22" s="6">
        <f>+ROUND(IF(C22&lt;=$B$11,0,(C22-$B$11)*$B$13*VLOOKUP(A22,[1]!Dies[#Data],2,FALSE)/$B$14),2)</f>
        <v>0</v>
      </c>
      <c r="F22" s="6">
        <f>+D22+E22</f>
        <v>0</v>
      </c>
    </row>
    <row r="23" spans="1:8" x14ac:dyDescent="0.3">
      <c r="A23" s="8" t="s">
        <v>7</v>
      </c>
      <c r="B23" s="7"/>
      <c r="C23" s="6">
        <f>+IF(B23-$B$10&lt;0,0,B23-$B$10)</f>
        <v>0</v>
      </c>
      <c r="D23" s="6">
        <f>+ROUND(IF(C23&gt;$B$11,$B$11*$B$12*VLOOKUP(A23,[1]!Dies[#Data],2,FALSE)/$B$14,C23*$B$12*VLOOKUP(A23,[1]!Dies[#Data],2,FALSE)/$B$14),2)</f>
        <v>0</v>
      </c>
      <c r="E23" s="6">
        <f>+ROUND(IF(C23&lt;=$B$11,0,(C23-$B$11)*$B$13*VLOOKUP(A23,[1]!Dies[#Data],2,FALSE)/$B$14),2)</f>
        <v>0</v>
      </c>
      <c r="F23" s="6">
        <f>+D23+E23</f>
        <v>0</v>
      </c>
    </row>
    <row r="24" spans="1:8" x14ac:dyDescent="0.3">
      <c r="A24" s="8" t="s">
        <v>6</v>
      </c>
      <c r="B24" s="7"/>
      <c r="C24" s="6">
        <f>+IF(B24-$B$10&lt;0,0,B24-$B$10)</f>
        <v>0</v>
      </c>
      <c r="D24" s="6">
        <f>+ROUND(IF(C24&gt;$B$11,$B$11*$B$12*VLOOKUP(A24,[1]!Dies[#Data],2,FALSE)/$B$14,C24*$B$12*VLOOKUP(A24,[1]!Dies[#Data],2,FALSE)/$B$14),2)</f>
        <v>0</v>
      </c>
      <c r="E24" s="6">
        <f>+ROUND(IF(C24&lt;=$B$11,0,(C24-$B$11)*$B$13*VLOOKUP(A24,[1]!Dies[#Data],2,FALSE)/$B$14),2)</f>
        <v>0</v>
      </c>
      <c r="F24" s="6">
        <f>+D24+E24</f>
        <v>0</v>
      </c>
    </row>
    <row r="25" spans="1:8" x14ac:dyDescent="0.3">
      <c r="A25" s="11" t="s">
        <v>5</v>
      </c>
      <c r="B25" s="7"/>
      <c r="C25" s="6">
        <f>+IF(B25-$B$10&lt;0,0,B25-$B$10)</f>
        <v>0</v>
      </c>
      <c r="D25" s="6">
        <f>+ROUND(IF(C25&gt;$B$11,$B$11*$B$12*VLOOKUP(A25,[1]!Dies[#Data],2,FALSE)/$B$14,C25*$B$12*VLOOKUP(A25,[1]!Dies[#Data],2,FALSE)/$B$14),2)</f>
        <v>0</v>
      </c>
      <c r="E25" s="6">
        <f>+ROUND(IF(C25&lt;=$B$11,0,(C25-$B$11)*$B$13*VLOOKUP(A25,[1]!Dies[#Data],2,FALSE)/$B$14),2)</f>
        <v>0</v>
      </c>
      <c r="F25" s="6">
        <f>+D25+E25</f>
        <v>0</v>
      </c>
    </row>
    <row r="26" spans="1:8" x14ac:dyDescent="0.3">
      <c r="A26" s="8" t="s">
        <v>4</v>
      </c>
      <c r="B26" s="7"/>
      <c r="C26" s="6">
        <f>+IF(B26-$B$10&lt;0,0,B26-$B$10)</f>
        <v>0</v>
      </c>
      <c r="D26" s="6">
        <f>+ROUND(IF(C26&gt;$B$11,$B$11*$B$12*VLOOKUP(A26,[1]!Dies[#Data],2,FALSE)/$B$14,C26*$B$12*VLOOKUP(A26,[1]!Dies[#Data],2,FALSE)/$B$14),2)</f>
        <v>0</v>
      </c>
      <c r="E26" s="6">
        <f>+ROUND(IF(C26&lt;=$B$11,0,(C26-$B$11)*$B$13*VLOOKUP(A26,[1]!Dies[#Data],2,FALSE)/$B$14),2)</f>
        <v>0</v>
      </c>
      <c r="F26" s="6">
        <f>+D26+E26</f>
        <v>0</v>
      </c>
      <c r="G26" s="10"/>
    </row>
    <row r="27" spans="1:8" x14ac:dyDescent="0.3">
      <c r="A27" s="9" t="s">
        <v>3</v>
      </c>
      <c r="B27" s="7"/>
      <c r="C27" s="6">
        <f>+IF(B27-$B$10&lt;0,0,B27-$B$10)</f>
        <v>0</v>
      </c>
      <c r="D27" s="6">
        <f>+ROUND(IF(C27&gt;$B$11,$B$11*$B$12*VLOOKUP(A27,[1]!Dies[#Data],2,FALSE)/$B$14,C27*$B$12*VLOOKUP(A27,[1]!Dies[#Data],2,FALSE)/$B$14),2)</f>
        <v>0</v>
      </c>
      <c r="E27" s="6">
        <f>+ROUND(IF(C27&lt;=$B$11,0,(C27-$B$11)*$B$13*VLOOKUP(A27,[1]!Dies[#Data],2,FALSE)/$B$14),2)</f>
        <v>0</v>
      </c>
      <c r="F27" s="6">
        <f>+D27+E27</f>
        <v>0</v>
      </c>
      <c r="G27" s="5"/>
    </row>
    <row r="28" spans="1:8" x14ac:dyDescent="0.3">
      <c r="A28" s="8" t="s">
        <v>2</v>
      </c>
      <c r="B28" s="7"/>
      <c r="C28" s="6">
        <f>+IF(B28-$B$10&lt;0,0,B28-$B$10)</f>
        <v>0</v>
      </c>
      <c r="D28" s="6">
        <f>+ROUND(IF(C28&gt;$B$11,$B$11*$B$12*VLOOKUP(A28,[1]!Dies[#Data],2,FALSE)/$B$14,C28*$B$12*VLOOKUP(A28,[1]!Dies[#Data],2,FALSE)/$B$14),2)</f>
        <v>0</v>
      </c>
      <c r="E28" s="6">
        <f>+ROUND(IF(C28&lt;=$B$11,0,(C28-$B$11)*$B$13*VLOOKUP(A28,[1]!Dies[#Data],2,FALSE)/$B$14),2)</f>
        <v>0</v>
      </c>
      <c r="F28" s="6">
        <f>+D28+E28</f>
        <v>0</v>
      </c>
      <c r="G28" s="5"/>
      <c r="H28" s="5"/>
    </row>
    <row r="29" spans="1:8" x14ac:dyDescent="0.3">
      <c r="A29" s="8" t="s">
        <v>1</v>
      </c>
      <c r="B29" s="7"/>
      <c r="C29" s="6">
        <f>+IF(B29-$B$10&lt;0,0,B29-$B$10)</f>
        <v>0</v>
      </c>
      <c r="D29" s="6">
        <f>+ROUND(IF(C29&gt;$B$11,$B$11*$B$12*VLOOKUP(A29,[1]!Dies[#Data],2,FALSE)/$B$14,C29*$B$12*VLOOKUP(A29,[1]!Dies[#Data],2,FALSE)/$B$14),2)</f>
        <v>0</v>
      </c>
      <c r="E29" s="6">
        <f>+ROUND(IF(C29&lt;=$B$11,0,(C29-$B$11)*$B$13*VLOOKUP(A29,[1]!Dies[#Data],2,FALSE)/$B$14),2)</f>
        <v>0</v>
      </c>
      <c r="F29" s="6">
        <f>+D29+E29</f>
        <v>0</v>
      </c>
      <c r="G29" s="5"/>
    </row>
    <row r="30" spans="1:8" x14ac:dyDescent="0.3">
      <c r="A30" s="5"/>
      <c r="B30" s="5"/>
      <c r="C30" s="5"/>
      <c r="D30" s="5"/>
      <c r="E30" s="5"/>
      <c r="F30" s="5"/>
      <c r="G30" s="5"/>
      <c r="H30" s="5"/>
    </row>
    <row r="31" spans="1:8" x14ac:dyDescent="0.3">
      <c r="B31" s="5"/>
      <c r="C31" s="5"/>
      <c r="D31" s="5"/>
      <c r="E31" s="5"/>
      <c r="F31" s="5"/>
      <c r="G31" s="5"/>
      <c r="H31" s="5"/>
    </row>
    <row r="32" spans="1:8" x14ac:dyDescent="0.3">
      <c r="A32" s="4" t="s">
        <v>0</v>
      </c>
    </row>
    <row r="33" spans="1:2" ht="33" x14ac:dyDescent="0.3">
      <c r="A33" s="3" t="str">
        <f>+B5</f>
        <v>2n període: novembre 2022-juny 2023 (8 mesos)</v>
      </c>
      <c r="B33" s="2">
        <f>+ROUND(IF(A33=[1]Períodes!A2,MIN(SUM(F18:F21),B8),IF(A33=[1]Períodes!A3,MIN(SUM(F22:F29),B9),0)),2)</f>
        <v>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Sánchez Cifre</dc:creator>
  <cp:lastModifiedBy>Guillermo Sánchez Cifre</cp:lastModifiedBy>
  <dcterms:created xsi:type="dcterms:W3CDTF">2022-04-07T13:17:50Z</dcterms:created>
  <dcterms:modified xsi:type="dcterms:W3CDTF">2022-04-07T13:20:38Z</dcterms:modified>
</cp:coreProperties>
</file>